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9185" windowHeight="11640" activeTab="0"/>
  </bookViews>
  <sheets>
    <sheet name="Gallons" sheetId="1" r:id="rId1"/>
    <sheet name="Tax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<sst xmlns="http://schemas.openxmlformats.org/spreadsheetml/2006/main" count="171" uniqueCount="65">
  <si>
    <t>Month</t>
  </si>
  <si>
    <t>Gasoline</t>
  </si>
  <si>
    <t>Gasohol</t>
  </si>
  <si>
    <t>Motor Fuels</t>
  </si>
  <si>
    <t>Use</t>
  </si>
  <si>
    <t>Diesel</t>
  </si>
  <si>
    <t>Compressed</t>
  </si>
  <si>
    <t>Taxable</t>
  </si>
  <si>
    <t>Gallons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</si>
  <si>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</si>
  <si>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</si>
  <si>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</si>
  <si>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</si>
  <si>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</si>
  <si>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</si>
  <si>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</si>
  <si>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</si>
  <si>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</si>
  <si>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</si>
  <si>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</si>
  <si>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</si>
  <si>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</si>
  <si>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(tax is net of commission)</t>
  </si>
  <si>
    <t>Aviation</t>
  </si>
  <si>
    <t>Petroleum</t>
  </si>
  <si>
    <t>Release</t>
  </si>
  <si>
    <t>Undyed</t>
  </si>
  <si>
    <t>Fiscal Year</t>
  </si>
  <si>
    <t>2007-2008</t>
  </si>
  <si>
    <t>2008-2009</t>
  </si>
  <si>
    <t>2009-2010</t>
  </si>
  <si>
    <t>2010-2011</t>
  </si>
  <si>
    <t>Current Year</t>
  </si>
  <si>
    <t>Over</t>
  </si>
  <si>
    <t>Previous Year</t>
  </si>
  <si>
    <t>Cumulative</t>
  </si>
  <si>
    <t>Difference</t>
  </si>
  <si>
    <t>Previous FY</t>
  </si>
  <si>
    <t>Percent</t>
  </si>
  <si>
    <t>Fuel</t>
  </si>
  <si>
    <t>Jet Fuel</t>
  </si>
  <si>
    <t>Dyed</t>
  </si>
  <si>
    <t>Monthly Comparison of Totals</t>
  </si>
  <si>
    <t>1.  Petroleum release fee is paid at the time of purchase rather than on the Nebraska Motor Fuels Use Tax Return.</t>
  </si>
  <si>
    <r>
      <t xml:space="preserve">Monthly Comparison of Motor Fuels, Compressed Fuel, and Motor Fuels Use Gallons </t>
    </r>
    <r>
      <rPr>
        <sz val="8"/>
        <color indexed="8"/>
        <rFont val="Arial"/>
        <family val="2"/>
      </rPr>
      <t>(1)</t>
    </r>
  </si>
  <si>
    <r>
      <t xml:space="preserve">Monthly Comparison of Motor Fuels, Compressed Fuel, and Motor Fuels Use Taxes </t>
    </r>
    <r>
      <rPr>
        <sz val="8"/>
        <color indexed="8"/>
        <rFont val="Arial"/>
        <family val="2"/>
      </rPr>
      <t>(2)</t>
    </r>
  </si>
  <si>
    <t>1.  Detail of gallons by fuel type can be found in the Monthly Comparison of Reported Motor Fuels Taxable Gallons table.</t>
  </si>
  <si>
    <t>2.  Detail of tax by fuel type can be found in the Monthly Comparison of Reported Motor Fuels Taxes table.</t>
  </si>
  <si>
    <t>Change</t>
  </si>
  <si>
    <t>2.  Compressed fuel is not subject to the petroleum release fee.</t>
  </si>
  <si>
    <r>
      <t xml:space="preserve">Use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</si>
  <si>
    <r>
      <t xml:space="preserve">Fuel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</si>
  <si>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2011-2012</t>
  </si>
  <si>
    <t>2012-2013</t>
  </si>
  <si>
    <t>2013-2014</t>
  </si>
  <si>
    <t>1.  These funds are distributed to the Department of Aeronautics.</t>
  </si>
  <si>
    <t>2.  These funds are distributed to the Department of Environmental Quality.</t>
  </si>
  <si>
    <r>
      <t>Tax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</si>
  <si>
    <r>
      <t>Fee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</si>
  <si>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Taxes</t>
  </si>
  <si>
    <t>2014-2015</t>
  </si>
  <si>
    <t>Monthly Reported Motor Fuels Taxes</t>
  </si>
  <si>
    <t>Monthly Reported Motor Fuels Taxable Gallons</t>
  </si>
  <si>
    <t>2015-2016</t>
  </si>
  <si>
    <t>Fiscal Year 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</si>
</sst>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6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3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8" fontId="0" fillId="0" borderId="0" xfId="0" applyNumberFormat="1" applyFont="1" applyAlignment="1">
      <alignment/>
    </xf>
    <xf numFmtId="38" fontId="5" fillId="0" borderId="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6" width="11.625" style="0" customWidth="1"/>
    <col min="7" max="7" width="13.125" style="0" bestFit="1" customWidth="1"/>
    <col min="8" max="8" width="1.625" style="0" customWidth="1"/>
    <col min="9" max="11" width="11.625" style="0" customWidth="1"/>
    <col min="12" max="12" width="1.625" style="0" customWidth="1"/>
    <col min="13" max="13" width="11.625" style="0" customWidth="1"/>
  </cols>
  <sheetData>
    <row r="1" spans="1:13" ht="23.25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3" ht="18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7:11" ht="14.25">
      <c r="G5" s="1" t="s">
        <v>21</v>
      </c>
      <c r="J5" s="1"/>
      <c r="K5" s="1" t="s">
        <v>21</v>
      </c>
    </row>
    <row r="6" spans="1:13" ht="14.25">
      <c r="A6" s="1"/>
      <c r="B6" s="1"/>
      <c r="C6" s="1"/>
      <c r="D6" s="1" t="s">
        <v>3</v>
      </c>
      <c r="E6" s="1" t="s">
        <v>26</v>
      </c>
      <c r="F6" s="1" t="s">
        <v>6</v>
      </c>
      <c r="G6" s="1" t="s">
        <v>7</v>
      </c>
      <c r="I6" s="1" t="s">
        <v>23</v>
      </c>
      <c r="J6" s="1" t="s">
        <v>23</v>
      </c>
      <c r="K6" s="1" t="s">
        <v>23</v>
      </c>
      <c r="M6" s="1" t="s">
        <v>41</v>
      </c>
    </row>
    <row r="7" spans="1:13" ht="15" thickBot="1">
      <c r="A7" s="2" t="s">
        <v>0</v>
      </c>
      <c r="B7" s="2" t="s">
        <v>1</v>
      </c>
      <c r="C7" s="2" t="s">
        <v>2</v>
      </c>
      <c r="D7" s="2" t="s">
        <v>50</v>
      </c>
      <c r="E7" s="2" t="s">
        <v>5</v>
      </c>
      <c r="F7" s="2" t="s">
        <v>51</v>
      </c>
      <c r="G7" s="2" t="s">
        <v>8</v>
      </c>
      <c r="I7" s="8" t="s">
        <v>1</v>
      </c>
      <c r="J7" s="8" t="s">
        <v>40</v>
      </c>
      <c r="K7" s="8" t="s">
        <v>8</v>
      </c>
      <c r="M7" s="8" t="s">
        <v>5</v>
      </c>
    </row>
    <row r="8" spans="1:7" ht="6" customHeight="1">
      <c r="A8" s="3"/>
      <c r="B8" s="3"/>
      <c r="C8" s="3"/>
      <c r="D8" s="3"/>
      <c r="E8" s="3"/>
      <c r="F8" s="3"/>
      <c r="G8" s="3"/>
    </row>
    <row r="9" spans="1:13" ht="14.25">
      <c r="A9" s="1" t="s">
        <v>9</v>
      </c>
      <c r="B9" s="16">
        <v>13968726</v>
      </c>
      <c r="C9" s="16">
        <f>68198299+6103</f>
        <v>68204402</v>
      </c>
      <c r="D9" s="16">
        <v>0</v>
      </c>
      <c r="E9" s="16">
        <f>35414770+0+89</f>
        <v>35414859</v>
      </c>
      <c r="F9" s="16">
        <f>75270+124553</f>
        <v>199823</v>
      </c>
      <c r="G9" s="4">
        <f aca="true" t="shared" si="0" ref="G9:G20">SUM(B9:F9)</f>
        <v>117787810</v>
      </c>
      <c r="H9" s="4"/>
      <c r="I9" s="19">
        <v>199851</v>
      </c>
      <c r="J9" s="19">
        <v>4599052</v>
      </c>
      <c r="K9" s="4">
        <f aca="true" t="shared" si="1" ref="K9:K20">SUM(I9:J9)</f>
        <v>4798903</v>
      </c>
      <c r="L9" s="4"/>
      <c r="M9" s="4">
        <f>56357955+0</f>
        <v>56357955</v>
      </c>
    </row>
    <row r="10" spans="1:13" ht="14.25">
      <c r="A10" s="1" t="s">
        <v>10</v>
      </c>
      <c r="B10" s="16">
        <v>11966441</v>
      </c>
      <c r="C10" s="16">
        <f>67809832+3746</f>
        <v>67813578</v>
      </c>
      <c r="D10" s="16">
        <v>0</v>
      </c>
      <c r="E10" s="16">
        <f>36080204+0+0</f>
        <v>36080204</v>
      </c>
      <c r="F10" s="16">
        <f>179030+122788</f>
        <v>301818</v>
      </c>
      <c r="G10" s="4">
        <f t="shared" si="0"/>
        <v>116162041</v>
      </c>
      <c r="H10" s="4"/>
      <c r="I10" s="19">
        <v>220466</v>
      </c>
      <c r="J10" s="19">
        <v>4066559</v>
      </c>
      <c r="K10" s="4">
        <f t="shared" si="1"/>
        <v>4287025</v>
      </c>
      <c r="L10" s="4"/>
      <c r="M10" s="4">
        <f>53149196+0</f>
        <v>53149196</v>
      </c>
    </row>
    <row r="11" spans="1:13" ht="14.25">
      <c r="A11" s="1" t="s">
        <v>11</v>
      </c>
      <c r="B11" s="16">
        <v>11641153</v>
      </c>
      <c r="C11" s="16">
        <f>61116054+2726</f>
        <v>61118780</v>
      </c>
      <c r="D11" s="16">
        <v>1400328</v>
      </c>
      <c r="E11" s="16">
        <f>35453959+0+0</f>
        <v>35453959</v>
      </c>
      <c r="F11" s="16">
        <f>196280+132554</f>
        <v>328834</v>
      </c>
      <c r="G11" s="4">
        <f t="shared" si="0"/>
        <v>109943054</v>
      </c>
      <c r="H11" s="4"/>
      <c r="I11" s="19">
        <v>130628</v>
      </c>
      <c r="J11" s="19">
        <v>3579909</v>
      </c>
      <c r="K11" s="4">
        <f t="shared" si="1"/>
        <v>3710537</v>
      </c>
      <c r="L11" s="4"/>
      <c r="M11" s="4">
        <f>50416753+0</f>
        <v>50416753</v>
      </c>
    </row>
    <row r="12" spans="1:13" ht="14.25">
      <c r="A12" s="1" t="s">
        <v>12</v>
      </c>
      <c r="B12" s="16">
        <v>11619189</v>
      </c>
      <c r="C12" s="16">
        <f>65842073+2728</f>
        <v>65844801</v>
      </c>
      <c r="D12" s="16">
        <v>0</v>
      </c>
      <c r="E12" s="16">
        <f>41351695+0+83</f>
        <v>41351778</v>
      </c>
      <c r="F12" s="16">
        <f>241890+124067</f>
        <v>365957</v>
      </c>
      <c r="G12" s="4">
        <f t="shared" si="0"/>
        <v>119181725</v>
      </c>
      <c r="H12" s="4"/>
      <c r="I12" s="19">
        <v>136633</v>
      </c>
      <c r="J12" s="19">
        <v>3633968</v>
      </c>
      <c r="K12" s="4">
        <f t="shared" si="1"/>
        <v>3770601</v>
      </c>
      <c r="L12" s="4"/>
      <c r="M12" s="4">
        <f>58426684+0</f>
        <v>58426684</v>
      </c>
    </row>
    <row r="13" spans="1:13" ht="14.25">
      <c r="A13" s="1" t="s">
        <v>13</v>
      </c>
      <c r="B13" s="16">
        <v>10603956</v>
      </c>
      <c r="C13" s="16">
        <f>60089084+1821</f>
        <v>60090905</v>
      </c>
      <c r="D13" s="16">
        <v>0</v>
      </c>
      <c r="E13" s="16">
        <f>33986089+0+0</f>
        <v>33986089</v>
      </c>
      <c r="F13" s="16">
        <f>180491+106520</f>
        <v>287011</v>
      </c>
      <c r="G13" s="4">
        <f t="shared" si="0"/>
        <v>104967961</v>
      </c>
      <c r="H13" s="4"/>
      <c r="I13" s="20">
        <v>82840</v>
      </c>
      <c r="J13" s="20">
        <v>3328866</v>
      </c>
      <c r="K13" s="4">
        <f t="shared" si="1"/>
        <v>3411706</v>
      </c>
      <c r="L13" s="4"/>
      <c r="M13" s="4">
        <f>43723842+0</f>
        <v>43723842</v>
      </c>
    </row>
    <row r="14" spans="1:13" ht="14.25">
      <c r="A14" s="1" t="s">
        <v>14</v>
      </c>
      <c r="B14" s="16">
        <v>11791599</v>
      </c>
      <c r="C14" s="16">
        <f>61905892+1827</f>
        <v>61907719</v>
      </c>
      <c r="D14" s="16">
        <v>1289706</v>
      </c>
      <c r="E14" s="16">
        <f>32404613+0+0</f>
        <v>32404613</v>
      </c>
      <c r="F14" s="16">
        <f>190199+122217</f>
        <v>312416</v>
      </c>
      <c r="G14" s="4">
        <f t="shared" si="0"/>
        <v>107706053</v>
      </c>
      <c r="H14" s="4"/>
      <c r="I14" s="20">
        <v>84001</v>
      </c>
      <c r="J14" s="20">
        <v>3376141</v>
      </c>
      <c r="K14" s="4">
        <f t="shared" si="1"/>
        <v>3460142</v>
      </c>
      <c r="L14" s="4"/>
      <c r="M14" s="4">
        <f>43325096+0</f>
        <v>43325096</v>
      </c>
    </row>
    <row r="15" spans="1:13" ht="14.25">
      <c r="A15" s="1" t="s">
        <v>15</v>
      </c>
      <c r="B15" s="16">
        <v>10375438</v>
      </c>
      <c r="C15" s="16">
        <f>58794151+0</f>
        <v>58794151</v>
      </c>
      <c r="D15" s="16">
        <v>0</v>
      </c>
      <c r="E15" s="16">
        <f>31859934+0+0</f>
        <v>31859934</v>
      </c>
      <c r="F15" s="16">
        <f>198059+112420</f>
        <v>310479</v>
      </c>
      <c r="G15" s="4">
        <f t="shared" si="0"/>
        <v>101340002</v>
      </c>
      <c r="H15" s="4"/>
      <c r="I15" s="20">
        <v>111564</v>
      </c>
      <c r="J15" s="20">
        <v>3007872</v>
      </c>
      <c r="K15" s="4">
        <f t="shared" si="1"/>
        <v>3119436</v>
      </c>
      <c r="L15" s="4"/>
      <c r="M15" s="4">
        <f>39196909+0</f>
        <v>39196909</v>
      </c>
    </row>
    <row r="16" spans="1:13" ht="14.25">
      <c r="A16" s="1" t="s">
        <v>16</v>
      </c>
      <c r="B16" s="16">
        <v>10477127</v>
      </c>
      <c r="C16" s="16">
        <f>55004915+0</f>
        <v>55004915</v>
      </c>
      <c r="D16" s="16">
        <v>0</v>
      </c>
      <c r="E16" s="16">
        <f>29291526+0+0</f>
        <v>29291526</v>
      </c>
      <c r="F16" s="16">
        <f>192328+113868</f>
        <v>306196</v>
      </c>
      <c r="G16" s="4">
        <f t="shared" si="0"/>
        <v>95079764</v>
      </c>
      <c r="H16" s="4"/>
      <c r="I16" s="19">
        <v>81356</v>
      </c>
      <c r="J16" s="19">
        <v>3188280</v>
      </c>
      <c r="K16" s="4">
        <f t="shared" si="1"/>
        <v>3269636</v>
      </c>
      <c r="L16" s="4"/>
      <c r="M16" s="4">
        <f>34947550+0</f>
        <v>34947550</v>
      </c>
    </row>
    <row r="17" spans="1:13" ht="14.25">
      <c r="A17" s="1" t="s">
        <v>17</v>
      </c>
      <c r="B17" s="16">
        <v>11089306</v>
      </c>
      <c r="C17" s="16">
        <f>62839399+2790</f>
        <v>62842189</v>
      </c>
      <c r="D17" s="16">
        <v>1169823</v>
      </c>
      <c r="E17" s="16">
        <f>35901815+0+0</f>
        <v>35901815</v>
      </c>
      <c r="F17" s="16">
        <f>211390+127679</f>
        <v>339069</v>
      </c>
      <c r="G17" s="4">
        <f t="shared" si="0"/>
        <v>111342202</v>
      </c>
      <c r="H17" s="4"/>
      <c r="I17" s="19">
        <v>173365</v>
      </c>
      <c r="J17" s="19">
        <v>3730946</v>
      </c>
      <c r="K17" s="4">
        <f t="shared" si="1"/>
        <v>3904311</v>
      </c>
      <c r="L17" s="4"/>
      <c r="M17" s="4">
        <f>41980861+0</f>
        <v>41980861</v>
      </c>
    </row>
    <row r="18" spans="1:13" ht="14.25">
      <c r="A18" s="1" t="s">
        <v>18</v>
      </c>
      <c r="B18" s="15">
        <v>11742883</v>
      </c>
      <c r="C18" s="15">
        <f>61650137+2739</f>
        <v>61652876</v>
      </c>
      <c r="D18" s="15">
        <v>0</v>
      </c>
      <c r="E18" s="15">
        <f>35005613+0+0</f>
        <v>35005613</v>
      </c>
      <c r="F18" s="15">
        <f>193244+123747</f>
        <v>316991</v>
      </c>
      <c r="G18" s="4">
        <f t="shared" si="0"/>
        <v>108718363</v>
      </c>
      <c r="H18" s="4"/>
      <c r="I18" s="15">
        <v>98802</v>
      </c>
      <c r="J18" s="15">
        <v>3926983</v>
      </c>
      <c r="K18" s="4">
        <f t="shared" si="1"/>
        <v>4025785</v>
      </c>
      <c r="L18" s="4"/>
      <c r="M18" s="4">
        <f>35972765+0</f>
        <v>35972765</v>
      </c>
    </row>
    <row r="19" spans="1:13" ht="14.25">
      <c r="A19" s="1" t="s">
        <v>19</v>
      </c>
      <c r="B19" s="15">
        <v>12621259</v>
      </c>
      <c r="C19" s="15">
        <f>66261609+2664</f>
        <v>66264273</v>
      </c>
      <c r="D19" s="15">
        <v>0</v>
      </c>
      <c r="E19" s="15">
        <f>35537562+0+0</f>
        <v>35537562</v>
      </c>
      <c r="F19" s="15">
        <f>193966+112012</f>
        <v>305978</v>
      </c>
      <c r="G19" s="4">
        <f t="shared" si="0"/>
        <v>114729072</v>
      </c>
      <c r="H19" s="4"/>
      <c r="I19" s="15">
        <v>128204</v>
      </c>
      <c r="J19" s="15">
        <v>4157575</v>
      </c>
      <c r="K19" s="4">
        <f t="shared" si="1"/>
        <v>4285779</v>
      </c>
      <c r="L19" s="4"/>
      <c r="M19" s="4">
        <f>36241471+0</f>
        <v>36241471</v>
      </c>
    </row>
    <row r="20" spans="1:13" ht="14.25">
      <c r="A20" s="1" t="s">
        <v>20</v>
      </c>
      <c r="B20" s="4">
        <v>12392500</v>
      </c>
      <c r="C20" s="4">
        <f>70224170+2511</f>
        <v>70226681</v>
      </c>
      <c r="D20" s="4">
        <v>1288213</v>
      </c>
      <c r="E20" s="4">
        <f>37714108+0+0</f>
        <v>37714108</v>
      </c>
      <c r="F20" s="4">
        <f>134009+123972</f>
        <v>257981</v>
      </c>
      <c r="G20" s="4">
        <f t="shared" si="0"/>
        <v>121879483</v>
      </c>
      <c r="H20" s="4"/>
      <c r="I20" s="15">
        <v>152668</v>
      </c>
      <c r="J20" s="15">
        <v>4568696</v>
      </c>
      <c r="K20" s="4">
        <f t="shared" si="1"/>
        <v>4721364</v>
      </c>
      <c r="L20" s="4"/>
      <c r="M20" s="4">
        <f>46081277+0</f>
        <v>46081277</v>
      </c>
    </row>
    <row r="21" spans="1:13" ht="15" thickBot="1">
      <c r="A21" s="1" t="s">
        <v>21</v>
      </c>
      <c r="B21" s="5">
        <f aca="true" t="shared" si="2" ref="B21:G21">SUM(B9:B20)</f>
        <v>140289577</v>
      </c>
      <c r="C21" s="5">
        <f t="shared" si="2"/>
        <v>759765270</v>
      </c>
      <c r="D21" s="5">
        <f t="shared" si="2"/>
        <v>5148070</v>
      </c>
      <c r="E21" s="5">
        <f t="shared" si="2"/>
        <v>420002060</v>
      </c>
      <c r="F21" s="5">
        <f t="shared" si="2"/>
        <v>3632553</v>
      </c>
      <c r="G21" s="5">
        <f t="shared" si="2"/>
        <v>1328837530</v>
      </c>
      <c r="H21" s="4"/>
      <c r="I21" s="5">
        <f>SUM(I9:I20)</f>
        <v>1600378</v>
      </c>
      <c r="J21" s="5">
        <f>SUM(J9:J20)</f>
        <v>45164847</v>
      </c>
      <c r="K21" s="5">
        <f>SUM(K9:K20)</f>
        <v>46765225</v>
      </c>
      <c r="L21" s="4"/>
      <c r="M21" s="5">
        <f>SUM(M9:M20)</f>
        <v>539820359</v>
      </c>
    </row>
    <row r="22" spans="2:13" ht="15" thickTop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8" ht="14.25">
      <c r="B23" s="4"/>
      <c r="C23" s="4"/>
      <c r="D23" s="4"/>
      <c r="E23" s="4"/>
      <c r="F23" s="4"/>
      <c r="G23" s="4"/>
      <c r="H23" s="4"/>
    </row>
    <row r="28" ht="14.25">
      <c r="A28" t="s">
        <v>43</v>
      </c>
    </row>
    <row r="29" ht="14.25">
      <c r="A29" t="s">
        <v>49</v>
      </c>
    </row>
  </sheetData>
  <sheetProtection/>
  <mergeCells count="2">
    <mergeCell ref="A1:M1"/>
    <mergeCell ref="A3:M3"/>
  </mergeCells>
  <printOptions horizontalCentered="1"/>
  <pageMargins left="0.2" right="0.2" top="0.5" bottom="0.2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11.625" style="0" customWidth="1"/>
    <col min="2" max="7" width="12.50390625" style="0" customWidth="1"/>
    <col min="8" max="8" width="1.625" style="0" customWidth="1"/>
    <col min="9" max="10" width="11.625" style="0" customWidth="1"/>
  </cols>
  <sheetData>
    <row r="1" spans="1:10" ht="23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</row>
    <row r="5" spans="7:10" ht="14.25">
      <c r="G5" s="1"/>
      <c r="I5" s="1"/>
      <c r="J5" s="1" t="s">
        <v>24</v>
      </c>
    </row>
    <row r="6" spans="1:10" ht="14.25">
      <c r="A6" s="1"/>
      <c r="B6" s="1"/>
      <c r="C6" s="1"/>
      <c r="D6" s="1" t="s">
        <v>3</v>
      </c>
      <c r="E6" s="1" t="s">
        <v>26</v>
      </c>
      <c r="F6" s="1" t="s">
        <v>6</v>
      </c>
      <c r="G6" s="1" t="s">
        <v>21</v>
      </c>
      <c r="I6" s="1" t="s">
        <v>23</v>
      </c>
      <c r="J6" s="1" t="s">
        <v>25</v>
      </c>
    </row>
    <row r="7" spans="1:10" ht="15" thickBot="1">
      <c r="A7" s="2" t="s">
        <v>0</v>
      </c>
      <c r="B7" s="2" t="s">
        <v>1</v>
      </c>
      <c r="C7" s="2" t="s">
        <v>2</v>
      </c>
      <c r="D7" s="2" t="s">
        <v>4</v>
      </c>
      <c r="E7" s="2" t="s">
        <v>5</v>
      </c>
      <c r="F7" s="2" t="s">
        <v>39</v>
      </c>
      <c r="G7" s="2" t="s">
        <v>59</v>
      </c>
      <c r="I7" s="8" t="s">
        <v>57</v>
      </c>
      <c r="J7" s="8" t="s">
        <v>58</v>
      </c>
    </row>
    <row r="8" spans="1:7" ht="6" customHeight="1">
      <c r="A8" s="3"/>
      <c r="B8" s="3"/>
      <c r="C8" s="3"/>
      <c r="D8" s="3"/>
      <c r="E8" s="3"/>
      <c r="F8" s="3"/>
      <c r="G8" s="3"/>
    </row>
    <row r="9" spans="1:10" ht="14.25">
      <c r="A9" s="1" t="s">
        <v>9</v>
      </c>
      <c r="B9" s="17">
        <v>3550646</v>
      </c>
      <c r="C9" s="17">
        <f>17335507+1513</f>
        <v>17337020</v>
      </c>
      <c r="D9" s="17">
        <v>0</v>
      </c>
      <c r="E9" s="17">
        <f>9185719+23</f>
        <v>9185742</v>
      </c>
      <c r="F9" s="17">
        <v>51437</v>
      </c>
      <c r="G9" s="11">
        <f aca="true" t="shared" si="0" ref="G9:G20">SUM(B9:F9)</f>
        <v>30124845</v>
      </c>
      <c r="H9" s="11"/>
      <c r="I9" s="17">
        <v>142646</v>
      </c>
      <c r="J9" s="17">
        <f>1030834+55+0</f>
        <v>1030889</v>
      </c>
    </row>
    <row r="10" spans="1:10" ht="14.25">
      <c r="A10" s="1" t="s">
        <v>10</v>
      </c>
      <c r="B10" s="17">
        <v>3041724</v>
      </c>
      <c r="C10" s="17">
        <f>17236435+929</f>
        <v>17237364</v>
      </c>
      <c r="D10" s="17">
        <v>0</v>
      </c>
      <c r="E10" s="17">
        <f>9358391+0</f>
        <v>9358391</v>
      </c>
      <c r="F10" s="17">
        <v>78015</v>
      </c>
      <c r="G10" s="11">
        <f t="shared" si="0"/>
        <v>29715494</v>
      </c>
      <c r="H10" s="11"/>
      <c r="I10" s="17">
        <v>128213</v>
      </c>
      <c r="J10" s="17">
        <v>1000263</v>
      </c>
    </row>
    <row r="11" spans="1:10" ht="14.25">
      <c r="A11" s="1" t="s">
        <v>11</v>
      </c>
      <c r="B11" s="17">
        <v>2958825</v>
      </c>
      <c r="C11" s="17">
        <f>15533834+675</f>
        <v>15534509</v>
      </c>
      <c r="D11" s="17">
        <v>365487</v>
      </c>
      <c r="E11" s="17">
        <f>9195967+0</f>
        <v>9195967</v>
      </c>
      <c r="F11" s="17">
        <v>84997</v>
      </c>
      <c r="G11" s="11">
        <f t="shared" si="0"/>
        <v>28139785</v>
      </c>
      <c r="H11" s="11"/>
      <c r="I11" s="17">
        <v>109828</v>
      </c>
      <c r="J11" s="17">
        <f>924683+25+0</f>
        <v>924708</v>
      </c>
    </row>
    <row r="12" spans="1:10" ht="14.25">
      <c r="A12" s="1" t="s">
        <v>12</v>
      </c>
      <c r="B12" s="17">
        <v>2953322</v>
      </c>
      <c r="C12" s="17">
        <f>16735494+676</f>
        <v>16736170</v>
      </c>
      <c r="D12" s="17">
        <v>0</v>
      </c>
      <c r="E12" s="17">
        <f>10726786+22</f>
        <v>10726808</v>
      </c>
      <c r="F12" s="17">
        <v>94588</v>
      </c>
      <c r="G12" s="11">
        <f t="shared" si="0"/>
        <v>30510888</v>
      </c>
      <c r="H12" s="11"/>
      <c r="I12" s="17">
        <v>111818</v>
      </c>
      <c r="J12" s="17">
        <f>1008947+25+0</f>
        <v>1008972</v>
      </c>
    </row>
    <row r="13" spans="1:10" ht="14.25">
      <c r="A13" s="1" t="s">
        <v>13</v>
      </c>
      <c r="B13" s="17">
        <v>2695115</v>
      </c>
      <c r="C13" s="17">
        <f>15272318+451</f>
        <v>15272769</v>
      </c>
      <c r="D13" s="17">
        <v>0</v>
      </c>
      <c r="E13" s="17">
        <f>8814830+0</f>
        <v>8814830</v>
      </c>
      <c r="F13" s="17">
        <v>74224</v>
      </c>
      <c r="G13" s="11">
        <f t="shared" si="0"/>
        <v>26856938</v>
      </c>
      <c r="H13" s="11"/>
      <c r="I13" s="17">
        <v>100328</v>
      </c>
      <c r="J13" s="17">
        <f>880371+16+0</f>
        <v>880387</v>
      </c>
    </row>
    <row r="14" spans="1:10" ht="14.25">
      <c r="A14" s="1" t="s">
        <v>14</v>
      </c>
      <c r="B14" s="17">
        <v>2997036</v>
      </c>
      <c r="C14" s="17">
        <f>15734436+453</f>
        <v>15734889</v>
      </c>
      <c r="D14" s="17">
        <v>336613</v>
      </c>
      <c r="E14" s="17">
        <f>8404372+0</f>
        <v>8404372</v>
      </c>
      <c r="F14" s="17">
        <v>80658</v>
      </c>
      <c r="G14" s="11">
        <f t="shared" si="0"/>
        <v>27553568</v>
      </c>
      <c r="H14" s="11"/>
      <c r="I14" s="17">
        <v>101696</v>
      </c>
      <c r="J14" s="17">
        <f>901619+16+0</f>
        <v>901635</v>
      </c>
    </row>
    <row r="15" spans="1:10" ht="14.25">
      <c r="A15" s="1" t="s">
        <v>15</v>
      </c>
      <c r="B15" s="17">
        <v>2707795</v>
      </c>
      <c r="C15" s="17">
        <f>15344174+0</f>
        <v>15344174</v>
      </c>
      <c r="D15" s="17">
        <v>0</v>
      </c>
      <c r="E15" s="17">
        <f>8484738+0</f>
        <v>8484738</v>
      </c>
      <c r="F15" s="17">
        <v>82427</v>
      </c>
      <c r="G15" s="11">
        <f t="shared" si="0"/>
        <v>26619134</v>
      </c>
      <c r="H15" s="11"/>
      <c r="I15" s="17">
        <v>92292</v>
      </c>
      <c r="J15" s="17">
        <f>846000+0+0</f>
        <v>846000</v>
      </c>
    </row>
    <row r="16" spans="1:10" ht="14.25">
      <c r="A16" s="1" t="s">
        <v>16</v>
      </c>
      <c r="B16" s="17">
        <v>2734133</v>
      </c>
      <c r="C16" s="17">
        <f>14354199+0</f>
        <v>14354199</v>
      </c>
      <c r="D16" s="17">
        <v>0</v>
      </c>
      <c r="E16" s="17">
        <f>7799932+0</f>
        <v>7799932</v>
      </c>
      <c r="F16" s="17">
        <v>81243</v>
      </c>
      <c r="G16" s="11">
        <f t="shared" si="0"/>
        <v>24969507</v>
      </c>
      <c r="H16" s="11"/>
      <c r="I16" s="17">
        <v>96024</v>
      </c>
      <c r="J16" s="17">
        <f>792597+0+0</f>
        <v>792597</v>
      </c>
    </row>
    <row r="17" spans="1:10" ht="14.25">
      <c r="A17" s="1" t="s">
        <v>17</v>
      </c>
      <c r="B17" s="17">
        <v>2894207</v>
      </c>
      <c r="C17" s="17">
        <f>16400505+711</f>
        <v>16401216</v>
      </c>
      <c r="D17" s="17">
        <v>313513</v>
      </c>
      <c r="E17" s="17">
        <f>9562371+0</f>
        <v>9562371</v>
      </c>
      <c r="F17" s="17">
        <v>89979</v>
      </c>
      <c r="G17" s="11">
        <f t="shared" si="0"/>
        <v>29261286</v>
      </c>
      <c r="H17" s="11"/>
      <c r="I17" s="17">
        <v>116380</v>
      </c>
      <c r="J17" s="17">
        <f>912030+25+0</f>
        <v>912055</v>
      </c>
    </row>
    <row r="18" spans="1:10" ht="14.25">
      <c r="A18" s="1" t="s">
        <v>18</v>
      </c>
      <c r="B18" s="18">
        <v>3064758</v>
      </c>
      <c r="C18" s="18">
        <f>16089978+697</f>
        <v>16090675</v>
      </c>
      <c r="D18" s="18">
        <v>0</v>
      </c>
      <c r="E18" s="18">
        <f>9323262+0</f>
        <v>9323262</v>
      </c>
      <c r="F18" s="18">
        <v>84197</v>
      </c>
      <c r="G18" s="11">
        <f t="shared" si="0"/>
        <v>28562892</v>
      </c>
      <c r="H18" s="11"/>
      <c r="I18" s="18">
        <v>118524</v>
      </c>
      <c r="J18" s="18">
        <f>886439+25+0</f>
        <v>886464</v>
      </c>
    </row>
    <row r="19" spans="1:10" ht="14.25">
      <c r="A19" s="1" t="s">
        <v>19</v>
      </c>
      <c r="B19" s="18">
        <v>3294294</v>
      </c>
      <c r="C19" s="18">
        <f>17295042+678</f>
        <v>17295720</v>
      </c>
      <c r="D19" s="18">
        <v>0</v>
      </c>
      <c r="E19" s="18">
        <f>9465134+0</f>
        <v>9465134</v>
      </c>
      <c r="F19" s="18">
        <v>81195</v>
      </c>
      <c r="G19" s="11">
        <f t="shared" si="0"/>
        <v>30136343</v>
      </c>
      <c r="H19" s="11"/>
      <c r="I19" s="18">
        <v>126520</v>
      </c>
      <c r="J19" s="18">
        <f>939251+24+0</f>
        <v>939275</v>
      </c>
    </row>
    <row r="20" spans="1:10" ht="14.25">
      <c r="A20" s="1" t="s">
        <v>20</v>
      </c>
      <c r="B20" s="18">
        <v>3234660</v>
      </c>
      <c r="C20" s="18">
        <f>18329737+639</f>
        <v>18330376</v>
      </c>
      <c r="D20" s="18">
        <v>345239</v>
      </c>
      <c r="E20" s="18">
        <f>10045290+0</f>
        <v>10045290</v>
      </c>
      <c r="F20" s="18">
        <v>68285</v>
      </c>
      <c r="G20" s="11">
        <f t="shared" si="0"/>
        <v>32023850</v>
      </c>
      <c r="H20" s="11"/>
      <c r="I20" s="18">
        <v>139760</v>
      </c>
      <c r="J20" s="18">
        <f>1010397+23+0</f>
        <v>1010420</v>
      </c>
    </row>
    <row r="21" spans="1:10" ht="15" thickBot="1">
      <c r="A21" s="1" t="s">
        <v>21</v>
      </c>
      <c r="B21" s="12">
        <f aca="true" t="shared" si="1" ref="B21:G21">SUM(B9:B20)</f>
        <v>36126515</v>
      </c>
      <c r="C21" s="12">
        <f t="shared" si="1"/>
        <v>195669081</v>
      </c>
      <c r="D21" s="12">
        <f t="shared" si="1"/>
        <v>1360852</v>
      </c>
      <c r="E21" s="12">
        <f t="shared" si="1"/>
        <v>110366837</v>
      </c>
      <c r="F21" s="12">
        <f t="shared" si="1"/>
        <v>951245</v>
      </c>
      <c r="G21" s="12">
        <f t="shared" si="1"/>
        <v>344474530</v>
      </c>
      <c r="H21" s="11"/>
      <c r="I21" s="12">
        <f>SUM(I9:I20)</f>
        <v>1384029</v>
      </c>
      <c r="J21" s="12">
        <f>SUM(J9:J20)</f>
        <v>11133665</v>
      </c>
    </row>
    <row r="22" spans="2:7" ht="15" thickTop="1">
      <c r="B22" s="4"/>
      <c r="C22" s="4"/>
      <c r="D22" s="4"/>
      <c r="E22" s="4"/>
      <c r="F22" s="4"/>
      <c r="G22" s="4"/>
    </row>
    <row r="25" ht="14.25">
      <c r="A25" t="s">
        <v>55</v>
      </c>
    </row>
    <row r="26" ht="14.25">
      <c r="A26" t="s">
        <v>56</v>
      </c>
    </row>
  </sheetData>
  <sheetProtection/>
  <mergeCells count="3">
    <mergeCell ref="A1:J1"/>
    <mergeCell ref="A2:J2"/>
    <mergeCell ref="A3:J3"/>
  </mergeCells>
  <printOptions horizontalCentered="1"/>
  <pageMargins left="0.2" right="0.2" top="0.5" bottom="0.3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B1">
      <selection activeCell="A1" sqref="A1:L1"/>
    </sheetView>
  </sheetViews>
  <sheetFormatPr defaultColWidth="9.00390625" defaultRowHeight="14.25"/>
  <cols>
    <col min="1" max="1" width="11.625" style="0" customWidth="1"/>
    <col min="2" max="10" width="13.125" style="0" customWidth="1"/>
    <col min="11" max="12" width="12.25390625" style="0" bestFit="1" customWidth="1"/>
    <col min="13" max="13" width="12.125" style="0" customWidth="1"/>
    <col min="14" max="16" width="15.625" style="0" hidden="1" customWidth="1"/>
    <col min="17" max="17" width="11.375" style="0" customWidth="1"/>
  </cols>
  <sheetData>
    <row r="1" spans="1:12" ht="23.2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8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 customHeight="1">
      <c r="A4" s="7"/>
      <c r="B4" s="7"/>
      <c r="C4" s="7"/>
      <c r="D4" s="7"/>
      <c r="E4" s="7"/>
      <c r="F4" s="7"/>
      <c r="G4" s="7"/>
      <c r="H4" s="22"/>
      <c r="I4" s="23"/>
      <c r="J4" s="21"/>
      <c r="K4" s="7"/>
      <c r="L4" s="7"/>
    </row>
    <row r="5" spans="1:12" ht="14.25" customHeight="1">
      <c r="A5" s="6"/>
      <c r="K5" s="1"/>
      <c r="L5" s="1" t="s">
        <v>35</v>
      </c>
    </row>
    <row r="6" spans="1:12" ht="14.25" customHeight="1">
      <c r="A6" s="6"/>
      <c r="K6" s="1" t="s">
        <v>48</v>
      </c>
      <c r="L6" s="1" t="s">
        <v>48</v>
      </c>
    </row>
    <row r="7" spans="11:12" ht="14.25" customHeight="1">
      <c r="K7" s="1" t="s">
        <v>32</v>
      </c>
      <c r="L7" s="1" t="s">
        <v>32</v>
      </c>
    </row>
    <row r="8" spans="1:16" ht="14.25" customHeight="1">
      <c r="A8" s="1"/>
      <c r="B8" s="1" t="s">
        <v>27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1" t="s">
        <v>27</v>
      </c>
      <c r="J8" s="1" t="s">
        <v>27</v>
      </c>
      <c r="K8" s="1" t="s">
        <v>33</v>
      </c>
      <c r="L8" s="1" t="s">
        <v>33</v>
      </c>
      <c r="O8" s="1" t="s">
        <v>35</v>
      </c>
      <c r="P8" s="1" t="s">
        <v>35</v>
      </c>
    </row>
    <row r="9" spans="1:16" ht="14.25" customHeight="1" thickBot="1">
      <c r="A9" s="2" t="s">
        <v>0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52</v>
      </c>
      <c r="G9" s="2" t="s">
        <v>53</v>
      </c>
      <c r="H9" s="2" t="s">
        <v>54</v>
      </c>
      <c r="I9" s="2" t="s">
        <v>60</v>
      </c>
      <c r="J9" s="2" t="s">
        <v>63</v>
      </c>
      <c r="K9" s="2" t="s">
        <v>34</v>
      </c>
      <c r="L9" s="2" t="s">
        <v>34</v>
      </c>
      <c r="N9" s="10" t="s">
        <v>36</v>
      </c>
      <c r="O9" s="10" t="s">
        <v>36</v>
      </c>
      <c r="P9" s="10" t="s">
        <v>37</v>
      </c>
    </row>
    <row r="10" ht="6" customHeight="1"/>
    <row r="11" spans="1:16" ht="14.25">
      <c r="A11" s="1" t="s">
        <v>9</v>
      </c>
      <c r="B11" s="4">
        <v>111173621</v>
      </c>
      <c r="C11" s="4">
        <v>105408345</v>
      </c>
      <c r="D11" s="4">
        <v>109868021</v>
      </c>
      <c r="E11" s="4">
        <v>115233006</v>
      </c>
      <c r="F11" s="4">
        <v>107956467</v>
      </c>
      <c r="G11" s="4">
        <v>109229333</v>
      </c>
      <c r="H11" s="4">
        <v>112359501</v>
      </c>
      <c r="I11" s="4">
        <v>117422079</v>
      </c>
      <c r="J11" s="4">
        <f>Gallons!$G9</f>
        <v>117787810</v>
      </c>
      <c r="K11" s="9">
        <f>ROUND(N11/I11,4)</f>
        <v>0.0031</v>
      </c>
      <c r="L11" s="9">
        <f>ROUND(O11/P11,4)</f>
        <v>0.0031</v>
      </c>
      <c r="N11" s="4">
        <f>J11-I11</f>
        <v>365731</v>
      </c>
      <c r="O11" s="4">
        <f>N11</f>
        <v>365731</v>
      </c>
      <c r="P11" s="4">
        <f>I11</f>
        <v>117422079</v>
      </c>
    </row>
    <row r="12" spans="1:16" ht="14.25">
      <c r="A12" s="1" t="s">
        <v>10</v>
      </c>
      <c r="B12" s="4">
        <v>112490318</v>
      </c>
      <c r="C12" s="4">
        <v>105295459</v>
      </c>
      <c r="D12" s="4">
        <v>103077875</v>
      </c>
      <c r="E12" s="4">
        <v>112709383</v>
      </c>
      <c r="F12" s="4">
        <v>112058023</v>
      </c>
      <c r="G12" s="4">
        <v>111339164</v>
      </c>
      <c r="H12" s="4">
        <v>110884852</v>
      </c>
      <c r="I12" s="4">
        <v>110663644</v>
      </c>
      <c r="J12" s="4">
        <f>Gallons!$G10</f>
        <v>116162041</v>
      </c>
      <c r="K12" s="9">
        <f aca="true" t="shared" si="0" ref="K12:K22">ROUND(N12/I12,4)</f>
        <v>0.0497</v>
      </c>
      <c r="L12" s="9">
        <f aca="true" t="shared" si="1" ref="L12:L22">ROUND(O12/P12,4)</f>
        <v>0.0257</v>
      </c>
      <c r="N12" s="4">
        <f aca="true" t="shared" si="2" ref="N12:N22">J12-I12</f>
        <v>5498397</v>
      </c>
      <c r="O12" s="4">
        <f>SUM(N11:N12)</f>
        <v>5864128</v>
      </c>
      <c r="P12" s="4">
        <f>SUM(I11:I12)</f>
        <v>228085723</v>
      </c>
    </row>
    <row r="13" spans="1:16" ht="14.25">
      <c r="A13" s="1" t="s">
        <v>11</v>
      </c>
      <c r="B13" s="4">
        <v>105491943</v>
      </c>
      <c r="C13" s="4">
        <v>102169558</v>
      </c>
      <c r="D13" s="4">
        <v>105915290</v>
      </c>
      <c r="E13" s="4">
        <v>111397173</v>
      </c>
      <c r="F13" s="4">
        <v>108578095</v>
      </c>
      <c r="G13" s="4">
        <v>101637696</v>
      </c>
      <c r="H13" s="4">
        <v>103271326</v>
      </c>
      <c r="I13" s="4">
        <v>107414606</v>
      </c>
      <c r="J13" s="4">
        <f>Gallons!$G11</f>
        <v>109943054</v>
      </c>
      <c r="K13" s="9">
        <f t="shared" si="0"/>
        <v>0.0235</v>
      </c>
      <c r="L13" s="9">
        <f t="shared" si="1"/>
        <v>0.025</v>
      </c>
      <c r="N13" s="4">
        <f t="shared" si="2"/>
        <v>2528448</v>
      </c>
      <c r="O13" s="4">
        <f>SUM(N11:N13)</f>
        <v>8392576</v>
      </c>
      <c r="P13" s="4">
        <f>SUM(I11:I13)</f>
        <v>335500329</v>
      </c>
    </row>
    <row r="14" spans="1:16" ht="14.25">
      <c r="A14" s="1" t="s">
        <v>12</v>
      </c>
      <c r="B14" s="4">
        <v>113141080</v>
      </c>
      <c r="C14" s="4">
        <v>105620953</v>
      </c>
      <c r="D14" s="4">
        <v>103852126</v>
      </c>
      <c r="E14" s="4">
        <v>110564442</v>
      </c>
      <c r="F14" s="4">
        <v>106639082</v>
      </c>
      <c r="G14" s="4">
        <v>109854276</v>
      </c>
      <c r="H14" s="4">
        <v>113865503</v>
      </c>
      <c r="I14" s="4">
        <v>114903508</v>
      </c>
      <c r="J14" s="4">
        <f>Gallons!$G12</f>
        <v>119181725</v>
      </c>
      <c r="K14" s="9">
        <f t="shared" si="0"/>
        <v>0.0372</v>
      </c>
      <c r="L14" s="9">
        <f t="shared" si="1"/>
        <v>0.0281</v>
      </c>
      <c r="N14" s="4">
        <f t="shared" si="2"/>
        <v>4278217</v>
      </c>
      <c r="O14" s="4">
        <f>SUM(N11:N14)</f>
        <v>12670793</v>
      </c>
      <c r="P14" s="4">
        <f>SUM(I11:I14)</f>
        <v>450403837</v>
      </c>
    </row>
    <row r="15" spans="1:16" ht="14.25">
      <c r="A15" s="1" t="s">
        <v>13</v>
      </c>
      <c r="B15" s="4">
        <v>104804024</v>
      </c>
      <c r="C15" s="4">
        <v>98645049</v>
      </c>
      <c r="D15" s="4">
        <v>99287086</v>
      </c>
      <c r="E15" s="4">
        <v>104151941</v>
      </c>
      <c r="F15" s="4">
        <v>103139825</v>
      </c>
      <c r="G15" s="4">
        <v>99563979</v>
      </c>
      <c r="H15" s="4">
        <v>106211705</v>
      </c>
      <c r="I15" s="4">
        <v>105746776</v>
      </c>
      <c r="J15" s="4">
        <f>Gallons!$G13</f>
        <v>104967961</v>
      </c>
      <c r="K15" s="9">
        <f t="shared" si="0"/>
        <v>-0.0074</v>
      </c>
      <c r="L15" s="9">
        <f t="shared" si="1"/>
        <v>0.0214</v>
      </c>
      <c r="N15" s="4">
        <f t="shared" si="2"/>
        <v>-778815</v>
      </c>
      <c r="O15" s="4">
        <f>SUM(N11:N15)</f>
        <v>11891978</v>
      </c>
      <c r="P15" s="4">
        <f>SUM(I11:I15)</f>
        <v>556150613</v>
      </c>
    </row>
    <row r="16" spans="1:16" ht="14.25">
      <c r="A16" s="1" t="s">
        <v>14</v>
      </c>
      <c r="B16" s="4">
        <v>97448120</v>
      </c>
      <c r="C16" s="4">
        <v>105365909</v>
      </c>
      <c r="D16" s="4">
        <v>102090866</v>
      </c>
      <c r="E16" s="4">
        <v>108219348</v>
      </c>
      <c r="F16" s="4">
        <v>102121822</v>
      </c>
      <c r="G16" s="4">
        <v>98383863</v>
      </c>
      <c r="H16" s="4">
        <v>105878962</v>
      </c>
      <c r="I16" s="4">
        <v>108228059</v>
      </c>
      <c r="J16" s="4">
        <f>Gallons!$G14</f>
        <v>107706053</v>
      </c>
      <c r="K16" s="9">
        <f t="shared" si="0"/>
        <v>-0.0048</v>
      </c>
      <c r="L16" s="9">
        <f t="shared" si="1"/>
        <v>0.0171</v>
      </c>
      <c r="N16" s="4">
        <f t="shared" si="2"/>
        <v>-522006</v>
      </c>
      <c r="O16" s="4">
        <f>SUM(N11:N16)</f>
        <v>11369972</v>
      </c>
      <c r="P16" s="4">
        <f>SUM(I11:I16)</f>
        <v>664378672</v>
      </c>
    </row>
    <row r="17" spans="1:16" ht="14.25">
      <c r="A17" s="1" t="s">
        <v>15</v>
      </c>
      <c r="B17" s="4">
        <v>96437981</v>
      </c>
      <c r="C17" s="4">
        <v>92647016</v>
      </c>
      <c r="D17" s="4">
        <v>89700448</v>
      </c>
      <c r="E17" s="4">
        <v>95508402</v>
      </c>
      <c r="F17" s="4">
        <v>97101389</v>
      </c>
      <c r="G17" s="4">
        <v>93853855</v>
      </c>
      <c r="H17" s="4">
        <v>100130033</v>
      </c>
      <c r="I17" s="4">
        <v>102548144</v>
      </c>
      <c r="J17" s="4">
        <f>Gallons!$G15</f>
        <v>101340002</v>
      </c>
      <c r="K17" s="9">
        <f t="shared" si="0"/>
        <v>-0.0118</v>
      </c>
      <c r="L17" s="9">
        <f t="shared" si="1"/>
        <v>0.0133</v>
      </c>
      <c r="N17" s="4">
        <f t="shared" si="2"/>
        <v>-1208142</v>
      </c>
      <c r="O17" s="4">
        <f>SUM(N11:N17)</f>
        <v>10161830</v>
      </c>
      <c r="P17" s="4">
        <f>SUM(I11:I17)</f>
        <v>766926816</v>
      </c>
    </row>
    <row r="18" spans="1:16" ht="14.25">
      <c r="A18" s="1" t="s">
        <v>16</v>
      </c>
      <c r="B18" s="4">
        <v>92141860</v>
      </c>
      <c r="C18" s="4">
        <v>85713058</v>
      </c>
      <c r="D18" s="4">
        <v>88217399</v>
      </c>
      <c r="E18" s="4">
        <v>87729123</v>
      </c>
      <c r="F18" s="4">
        <v>92273120</v>
      </c>
      <c r="G18" s="4">
        <v>87150637</v>
      </c>
      <c r="H18" s="4">
        <v>94641663</v>
      </c>
      <c r="I18" s="4">
        <v>93913294</v>
      </c>
      <c r="J18" s="4">
        <f>Gallons!$G16</f>
        <v>95079764</v>
      </c>
      <c r="K18" s="9">
        <f t="shared" si="0"/>
        <v>0.0124</v>
      </c>
      <c r="L18" s="9">
        <f t="shared" si="1"/>
        <v>0.0132</v>
      </c>
      <c r="N18" s="4">
        <f t="shared" si="2"/>
        <v>1166470</v>
      </c>
      <c r="O18" s="4">
        <f>SUM(N11:N18)</f>
        <v>11328300</v>
      </c>
      <c r="P18" s="4">
        <f>SUM(I11:I18)</f>
        <v>860840110</v>
      </c>
    </row>
    <row r="19" spans="1:16" ht="14.25">
      <c r="A19" s="1" t="s">
        <v>17</v>
      </c>
      <c r="B19" s="4">
        <v>99462912</v>
      </c>
      <c r="C19" s="4">
        <v>98086384</v>
      </c>
      <c r="D19" s="4">
        <v>103269058</v>
      </c>
      <c r="E19" s="4">
        <v>102084843</v>
      </c>
      <c r="F19" s="4">
        <v>101999267</v>
      </c>
      <c r="G19" s="4">
        <v>99834493</v>
      </c>
      <c r="H19" s="4">
        <v>99207009</v>
      </c>
      <c r="I19" s="4">
        <v>106513133</v>
      </c>
      <c r="J19" s="4">
        <f>Gallons!$G17</f>
        <v>111342202</v>
      </c>
      <c r="K19" s="9">
        <f t="shared" si="0"/>
        <v>0.0453</v>
      </c>
      <c r="L19" s="9">
        <f t="shared" si="1"/>
        <v>0.0167</v>
      </c>
      <c r="N19" s="4">
        <f t="shared" si="2"/>
        <v>4829069</v>
      </c>
      <c r="O19" s="4">
        <f>SUM(N11:N19)</f>
        <v>16157369</v>
      </c>
      <c r="P19" s="4">
        <f>SUM(I11:I19)</f>
        <v>967353243</v>
      </c>
    </row>
    <row r="20" spans="1:16" ht="14.25">
      <c r="A20" s="1" t="s">
        <v>18</v>
      </c>
      <c r="B20" s="4">
        <v>99492853</v>
      </c>
      <c r="C20" s="4">
        <v>99313695</v>
      </c>
      <c r="D20" s="4">
        <v>103295189</v>
      </c>
      <c r="E20" s="4">
        <v>99738323</v>
      </c>
      <c r="F20" s="4">
        <v>101285746</v>
      </c>
      <c r="G20" s="4">
        <v>99931361</v>
      </c>
      <c r="H20" s="4">
        <v>106126950</v>
      </c>
      <c r="I20" s="4">
        <v>108379258</v>
      </c>
      <c r="J20" s="4">
        <f>Gallons!$G18</f>
        <v>108718363</v>
      </c>
      <c r="K20" s="9">
        <f t="shared" si="0"/>
        <v>0.0031</v>
      </c>
      <c r="L20" s="9">
        <f t="shared" si="1"/>
        <v>0.0153</v>
      </c>
      <c r="N20" s="4">
        <f t="shared" si="2"/>
        <v>339105</v>
      </c>
      <c r="O20" s="4">
        <f>SUM(N11:N20)</f>
        <v>16496474</v>
      </c>
      <c r="P20" s="4">
        <f>SUM(I11:I20)</f>
        <v>1075732501</v>
      </c>
    </row>
    <row r="21" spans="1:16" ht="14.25">
      <c r="A21" s="1" t="s">
        <v>19</v>
      </c>
      <c r="B21" s="4">
        <v>103845680</v>
      </c>
      <c r="C21" s="4">
        <v>105739748</v>
      </c>
      <c r="D21" s="4">
        <v>106149977</v>
      </c>
      <c r="E21" s="4">
        <v>104244431</v>
      </c>
      <c r="F21" s="4">
        <v>110074293</v>
      </c>
      <c r="G21" s="4">
        <v>108886859</v>
      </c>
      <c r="H21" s="4">
        <v>112598217</v>
      </c>
      <c r="I21" s="4">
        <v>109384489</v>
      </c>
      <c r="J21" s="4">
        <f>Gallons!$G19</f>
        <v>114729072</v>
      </c>
      <c r="K21" s="9">
        <f t="shared" si="0"/>
        <v>0.0489</v>
      </c>
      <c r="L21" s="9">
        <f t="shared" si="1"/>
        <v>0.0184</v>
      </c>
      <c r="N21" s="4">
        <f t="shared" si="2"/>
        <v>5344583</v>
      </c>
      <c r="O21" s="4">
        <f>SUM(N11:N21)</f>
        <v>21841057</v>
      </c>
      <c r="P21" s="4">
        <f>SUM(I11:I21)</f>
        <v>1185116990</v>
      </c>
    </row>
    <row r="22" spans="1:16" ht="14.25">
      <c r="A22" s="1" t="s">
        <v>20</v>
      </c>
      <c r="B22" s="4">
        <v>102504587</v>
      </c>
      <c r="C22" s="4">
        <v>105362756</v>
      </c>
      <c r="D22" s="4">
        <v>110681395</v>
      </c>
      <c r="E22" s="4">
        <v>108657755</v>
      </c>
      <c r="F22" s="4">
        <v>113908129</v>
      </c>
      <c r="G22" s="4">
        <v>108996655</v>
      </c>
      <c r="H22" s="4">
        <v>110008909</v>
      </c>
      <c r="I22" s="4">
        <v>115447084</v>
      </c>
      <c r="J22" s="4">
        <f>Gallons!$G20</f>
        <v>121879483</v>
      </c>
      <c r="K22" s="9">
        <f t="shared" si="0"/>
        <v>0.0557</v>
      </c>
      <c r="L22" s="9">
        <f t="shared" si="1"/>
        <v>0.0217</v>
      </c>
      <c r="N22" s="4">
        <f t="shared" si="2"/>
        <v>6432399</v>
      </c>
      <c r="O22" s="4">
        <f>SUM(N11:N22)</f>
        <v>28273456</v>
      </c>
      <c r="P22" s="4">
        <f>SUM(I11:I22)</f>
        <v>1300564074</v>
      </c>
    </row>
    <row r="23" spans="1:16" ht="15" thickBot="1">
      <c r="A23" s="1" t="s">
        <v>21</v>
      </c>
      <c r="B23" s="5">
        <f aca="true" t="shared" si="3" ref="B23:I23">SUM(B11:B22)</f>
        <v>1238434979</v>
      </c>
      <c r="C23" s="5">
        <f t="shared" si="3"/>
        <v>1209367930</v>
      </c>
      <c r="D23" s="5">
        <f t="shared" si="3"/>
        <v>1225404730</v>
      </c>
      <c r="E23" s="5">
        <f t="shared" si="3"/>
        <v>1260238170</v>
      </c>
      <c r="F23" s="5">
        <f t="shared" si="3"/>
        <v>1257135258</v>
      </c>
      <c r="G23" s="5">
        <f t="shared" si="3"/>
        <v>1228662171</v>
      </c>
      <c r="H23" s="5">
        <f t="shared" si="3"/>
        <v>1275184630</v>
      </c>
      <c r="I23" s="5">
        <f t="shared" si="3"/>
        <v>1300564074</v>
      </c>
      <c r="J23" s="5">
        <f>SUM(J11:J22)</f>
        <v>1328837530</v>
      </c>
      <c r="K23" s="13"/>
      <c r="L23" s="13"/>
      <c r="N23" s="4"/>
      <c r="O23" s="4"/>
      <c r="P23" s="4"/>
    </row>
    <row r="24" spans="2:12" ht="15" thickTop="1">
      <c r="B24" s="4"/>
      <c r="C24" s="4"/>
      <c r="D24" s="4"/>
      <c r="E24" s="4"/>
      <c r="F24" s="4"/>
      <c r="G24" s="4"/>
      <c r="H24" s="4"/>
      <c r="I24" s="4"/>
      <c r="J24" s="4"/>
      <c r="K24" s="9"/>
      <c r="L24" s="9"/>
    </row>
    <row r="27" spans="1:12" ht="18">
      <c r="A27" s="25" t="s">
        <v>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4.25" customHeight="1">
      <c r="A28" s="7"/>
      <c r="B28" s="7"/>
      <c r="C28" s="7"/>
      <c r="D28" s="7"/>
      <c r="E28" s="7"/>
      <c r="F28" s="7"/>
      <c r="G28" s="7"/>
      <c r="H28" s="22"/>
      <c r="I28" s="23"/>
      <c r="J28" s="21"/>
      <c r="K28" s="7"/>
      <c r="L28" s="7"/>
    </row>
    <row r="29" spans="1:12" ht="14.25" customHeight="1">
      <c r="A29" s="6"/>
      <c r="L29" s="1" t="s">
        <v>35</v>
      </c>
    </row>
    <row r="30" spans="1:12" ht="14.25" customHeight="1">
      <c r="A30" s="6"/>
      <c r="K30" s="1" t="s">
        <v>38</v>
      </c>
      <c r="L30" s="1" t="s">
        <v>38</v>
      </c>
    </row>
    <row r="31" spans="1:12" ht="14.25" customHeight="1">
      <c r="A31" s="6"/>
      <c r="K31" s="1" t="s">
        <v>36</v>
      </c>
      <c r="L31" s="1" t="s">
        <v>36</v>
      </c>
    </row>
    <row r="32" spans="11:12" ht="14.25" customHeight="1">
      <c r="K32" s="1" t="s">
        <v>32</v>
      </c>
      <c r="L32" s="1" t="s">
        <v>32</v>
      </c>
    </row>
    <row r="33" spans="1:16" ht="14.25" customHeight="1">
      <c r="A33" s="1"/>
      <c r="B33" s="1" t="s">
        <v>27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1" t="s">
        <v>27</v>
      </c>
      <c r="J33" s="1" t="s">
        <v>27</v>
      </c>
      <c r="K33" s="1" t="s">
        <v>33</v>
      </c>
      <c r="L33" s="1" t="s">
        <v>33</v>
      </c>
      <c r="O33" s="1" t="s">
        <v>35</v>
      </c>
      <c r="P33" s="1" t="s">
        <v>35</v>
      </c>
    </row>
    <row r="34" spans="1:16" ht="14.25" customHeight="1" thickBot="1">
      <c r="A34" s="2" t="s">
        <v>0</v>
      </c>
      <c r="B34" s="2" t="s">
        <v>28</v>
      </c>
      <c r="C34" s="2" t="s">
        <v>29</v>
      </c>
      <c r="D34" s="2" t="s">
        <v>30</v>
      </c>
      <c r="E34" s="2" t="s">
        <v>31</v>
      </c>
      <c r="F34" s="2" t="s">
        <v>52</v>
      </c>
      <c r="G34" s="2" t="s">
        <v>53</v>
      </c>
      <c r="H34" s="2" t="s">
        <v>54</v>
      </c>
      <c r="I34" s="2" t="s">
        <v>60</v>
      </c>
      <c r="J34" s="2" t="s">
        <v>63</v>
      </c>
      <c r="K34" s="2" t="s">
        <v>34</v>
      </c>
      <c r="L34" s="2" t="s">
        <v>34</v>
      </c>
      <c r="N34" s="10" t="s">
        <v>36</v>
      </c>
      <c r="O34" s="10" t="s">
        <v>36</v>
      </c>
      <c r="P34" s="10" t="s">
        <v>37</v>
      </c>
    </row>
    <row r="35" ht="6" customHeight="1"/>
    <row r="36" spans="1:16" ht="14.25">
      <c r="A36" s="1" t="s">
        <v>9</v>
      </c>
      <c r="B36" s="11">
        <v>29418949</v>
      </c>
      <c r="C36" s="11">
        <v>26843881</v>
      </c>
      <c r="D36" s="11">
        <v>28412965</v>
      </c>
      <c r="E36" s="11">
        <v>30602396</v>
      </c>
      <c r="F36" s="11">
        <v>27820845</v>
      </c>
      <c r="G36" s="11">
        <v>28042925</v>
      </c>
      <c r="H36" s="11">
        <v>28955185</v>
      </c>
      <c r="I36" s="11">
        <v>30379543</v>
      </c>
      <c r="J36" s="11">
        <f>Tax!$G9</f>
        <v>30124845</v>
      </c>
      <c r="K36" s="9">
        <f>ROUND(N36/I36,4)</f>
        <v>-0.0084</v>
      </c>
      <c r="L36" s="9">
        <f>ROUND(O36/P36,4)</f>
        <v>-0.0084</v>
      </c>
      <c r="N36" s="11">
        <f>J36-I36</f>
        <v>-254698</v>
      </c>
      <c r="O36" s="11">
        <f>N36</f>
        <v>-254698</v>
      </c>
      <c r="P36" s="11">
        <f>I36</f>
        <v>30379543</v>
      </c>
    </row>
    <row r="37" spans="1:16" ht="14.25">
      <c r="A37" s="1" t="s">
        <v>10</v>
      </c>
      <c r="B37" s="11">
        <v>29769128</v>
      </c>
      <c r="C37" s="11">
        <v>26791193</v>
      </c>
      <c r="D37" s="11">
        <v>26659172</v>
      </c>
      <c r="E37" s="11">
        <v>29938361</v>
      </c>
      <c r="F37" s="11">
        <v>28888688</v>
      </c>
      <c r="G37" s="11">
        <v>28597497</v>
      </c>
      <c r="H37" s="11">
        <v>28575065</v>
      </c>
      <c r="I37" s="11">
        <v>28633755</v>
      </c>
      <c r="J37" s="11">
        <f>Tax!$G10</f>
        <v>29715494</v>
      </c>
      <c r="K37" s="9">
        <f aca="true" t="shared" si="4" ref="K37:K47">ROUND(N37/I37,4)</f>
        <v>0.0378</v>
      </c>
      <c r="L37" s="9">
        <f aca="true" t="shared" si="5" ref="L37:L47">ROUND(O37/P37,4)</f>
        <v>0.014</v>
      </c>
      <c r="N37" s="11">
        <f aca="true" t="shared" si="6" ref="N37:N47">J37-I37</f>
        <v>1081739</v>
      </c>
      <c r="O37" s="11">
        <f>SUM(N36:N37)</f>
        <v>827041</v>
      </c>
      <c r="P37" s="11">
        <f>SUM(I36:I37)</f>
        <v>59013298</v>
      </c>
    </row>
    <row r="38" spans="1:16" ht="14.25">
      <c r="A38" s="1" t="s">
        <v>11</v>
      </c>
      <c r="B38" s="11">
        <v>27929476</v>
      </c>
      <c r="C38" s="11">
        <v>26040715</v>
      </c>
      <c r="D38" s="11">
        <v>27408621</v>
      </c>
      <c r="E38" s="11">
        <v>29608009</v>
      </c>
      <c r="F38" s="11">
        <v>28006143</v>
      </c>
      <c r="G38" s="11">
        <v>26117211</v>
      </c>
      <c r="H38" s="11">
        <v>26632015</v>
      </c>
      <c r="I38" s="11">
        <v>27813583</v>
      </c>
      <c r="J38" s="11">
        <f>Tax!$G11</f>
        <v>28139785</v>
      </c>
      <c r="K38" s="9">
        <f t="shared" si="4"/>
        <v>0.0117</v>
      </c>
      <c r="L38" s="9">
        <f t="shared" si="5"/>
        <v>0.0133</v>
      </c>
      <c r="N38" s="11">
        <f t="shared" si="6"/>
        <v>326202</v>
      </c>
      <c r="O38" s="11">
        <f>SUM(N36:N38)</f>
        <v>1153243</v>
      </c>
      <c r="P38" s="11">
        <f>SUM(I36:I38)</f>
        <v>86826881</v>
      </c>
    </row>
    <row r="39" spans="1:16" ht="14.25">
      <c r="A39" s="1" t="s">
        <v>12</v>
      </c>
      <c r="B39" s="11">
        <v>29959441</v>
      </c>
      <c r="C39" s="11">
        <v>26921774</v>
      </c>
      <c r="D39" s="11">
        <v>26874815</v>
      </c>
      <c r="E39" s="11">
        <v>29388401</v>
      </c>
      <c r="F39" s="11">
        <v>27508494</v>
      </c>
      <c r="G39" s="11">
        <v>28227791</v>
      </c>
      <c r="H39" s="11">
        <v>29374673</v>
      </c>
      <c r="I39" s="11">
        <v>29757849</v>
      </c>
      <c r="J39" s="11">
        <f>Tax!$G12</f>
        <v>30510888</v>
      </c>
      <c r="K39" s="9">
        <f t="shared" si="4"/>
        <v>0.0253</v>
      </c>
      <c r="L39" s="9">
        <f t="shared" si="5"/>
        <v>0.0164</v>
      </c>
      <c r="N39" s="11">
        <f t="shared" si="6"/>
        <v>753039</v>
      </c>
      <c r="O39" s="11">
        <f>SUM(N36:N39)</f>
        <v>1906282</v>
      </c>
      <c r="P39" s="11">
        <f>SUM(I36:I39)</f>
        <v>116584730</v>
      </c>
    </row>
    <row r="40" spans="1:16" ht="14.25">
      <c r="A40" s="1" t="s">
        <v>13</v>
      </c>
      <c r="B40" s="11">
        <v>27747128</v>
      </c>
      <c r="C40" s="11">
        <v>25133192</v>
      </c>
      <c r="D40" s="11">
        <v>25688954</v>
      </c>
      <c r="E40" s="11">
        <v>27670448</v>
      </c>
      <c r="F40" s="11">
        <v>26594586</v>
      </c>
      <c r="G40" s="11">
        <v>25569856</v>
      </c>
      <c r="H40" s="11">
        <v>27383092</v>
      </c>
      <c r="I40" s="11">
        <v>27371011</v>
      </c>
      <c r="J40" s="11">
        <f>Tax!$G13</f>
        <v>26856938</v>
      </c>
      <c r="K40" s="9">
        <f t="shared" si="4"/>
        <v>-0.0188</v>
      </c>
      <c r="L40" s="9">
        <f t="shared" si="5"/>
        <v>0.0097</v>
      </c>
      <c r="N40" s="11">
        <f t="shared" si="6"/>
        <v>-514073</v>
      </c>
      <c r="O40" s="11">
        <f>SUM(N36:N40)</f>
        <v>1392209</v>
      </c>
      <c r="P40" s="11">
        <f>SUM(I36:I40)</f>
        <v>143955741</v>
      </c>
    </row>
    <row r="41" spans="1:16" ht="14.25">
      <c r="A41" s="1" t="s">
        <v>14</v>
      </c>
      <c r="B41" s="11">
        <v>25782363</v>
      </c>
      <c r="C41" s="11">
        <v>26838784</v>
      </c>
      <c r="D41" s="11">
        <v>26414565</v>
      </c>
      <c r="E41" s="11">
        <v>28745037</v>
      </c>
      <c r="F41" s="11">
        <v>26325154</v>
      </c>
      <c r="G41" s="11">
        <v>25256254</v>
      </c>
      <c r="H41" s="11">
        <v>27290779</v>
      </c>
      <c r="I41" s="11">
        <v>28009420</v>
      </c>
      <c r="J41" s="11">
        <f>Tax!$G14</f>
        <v>27553568</v>
      </c>
      <c r="K41" s="9">
        <f t="shared" si="4"/>
        <v>-0.0163</v>
      </c>
      <c r="L41" s="9">
        <f t="shared" si="5"/>
        <v>0.0054</v>
      </c>
      <c r="N41" s="11">
        <f t="shared" si="6"/>
        <v>-455852</v>
      </c>
      <c r="O41" s="11">
        <f>SUM(N36:N41)</f>
        <v>936357</v>
      </c>
      <c r="P41" s="11">
        <f>SUM(I36:I41)</f>
        <v>171965161</v>
      </c>
    </row>
    <row r="42" spans="1:16" ht="14.25">
      <c r="A42" s="1" t="s">
        <v>15</v>
      </c>
      <c r="B42" s="11">
        <v>21733185</v>
      </c>
      <c r="C42" s="11">
        <v>23960037</v>
      </c>
      <c r="D42" s="11">
        <v>23553492</v>
      </c>
      <c r="E42" s="11">
        <v>24713179</v>
      </c>
      <c r="F42" s="11">
        <v>25413280</v>
      </c>
      <c r="G42" s="11">
        <v>22622348</v>
      </c>
      <c r="H42" s="11">
        <v>25910001</v>
      </c>
      <c r="I42" s="11">
        <v>25733202</v>
      </c>
      <c r="J42" s="11">
        <f>Tax!$G15</f>
        <v>26619134</v>
      </c>
      <c r="K42" s="9">
        <f t="shared" si="4"/>
        <v>0.0344</v>
      </c>
      <c r="L42" s="9">
        <f t="shared" si="5"/>
        <v>0.0092</v>
      </c>
      <c r="N42" s="11">
        <f t="shared" si="6"/>
        <v>885932</v>
      </c>
      <c r="O42" s="11">
        <f>SUM(N36:N42)</f>
        <v>1822289</v>
      </c>
      <c r="P42" s="11">
        <f>SUM(I36:I42)</f>
        <v>197698363</v>
      </c>
    </row>
    <row r="43" spans="1:16" ht="14.25">
      <c r="A43" s="1" t="s">
        <v>16</v>
      </c>
      <c r="B43" s="11">
        <v>20760632</v>
      </c>
      <c r="C43" s="11">
        <v>22163035</v>
      </c>
      <c r="D43" s="11">
        <v>23163278</v>
      </c>
      <c r="E43" s="11">
        <v>22695643</v>
      </c>
      <c r="F43" s="11">
        <v>24143456</v>
      </c>
      <c r="G43" s="11">
        <v>21006776</v>
      </c>
      <c r="H43" s="11">
        <v>24481764</v>
      </c>
      <c r="I43" s="11">
        <v>23560710</v>
      </c>
      <c r="J43" s="11">
        <f>Tax!$G16</f>
        <v>24969507</v>
      </c>
      <c r="K43" s="9">
        <f t="shared" si="4"/>
        <v>0.0598</v>
      </c>
      <c r="L43" s="9">
        <f t="shared" si="5"/>
        <v>0.0146</v>
      </c>
      <c r="N43" s="11">
        <f t="shared" si="6"/>
        <v>1408797</v>
      </c>
      <c r="O43" s="11">
        <f>SUM(N36:N43)</f>
        <v>3231086</v>
      </c>
      <c r="P43" s="11">
        <f>SUM(I36:I43)</f>
        <v>221259073</v>
      </c>
    </row>
    <row r="44" spans="1:16" ht="14.25">
      <c r="A44" s="1" t="s">
        <v>17</v>
      </c>
      <c r="B44" s="11">
        <v>22419702</v>
      </c>
      <c r="C44" s="11">
        <v>25375497</v>
      </c>
      <c r="D44" s="11">
        <v>27129937</v>
      </c>
      <c r="E44" s="11">
        <v>26425980</v>
      </c>
      <c r="F44" s="11">
        <v>26698861</v>
      </c>
      <c r="G44" s="11">
        <v>24079095</v>
      </c>
      <c r="H44" s="11">
        <v>25686007</v>
      </c>
      <c r="I44" s="11">
        <v>26737949</v>
      </c>
      <c r="J44" s="11">
        <f>Tax!$G17</f>
        <v>29261286</v>
      </c>
      <c r="K44" s="9">
        <f t="shared" si="4"/>
        <v>0.0944</v>
      </c>
      <c r="L44" s="9">
        <f t="shared" si="5"/>
        <v>0.0232</v>
      </c>
      <c r="N44" s="11">
        <f t="shared" si="6"/>
        <v>2523337</v>
      </c>
      <c r="O44" s="11">
        <f>SUM(N36:N44)</f>
        <v>5754423</v>
      </c>
      <c r="P44" s="11">
        <f>SUM(I36:I44)</f>
        <v>247997022</v>
      </c>
    </row>
    <row r="45" spans="1:16" ht="14.25">
      <c r="A45" s="1" t="s">
        <v>18</v>
      </c>
      <c r="B45" s="11">
        <v>22424095</v>
      </c>
      <c r="C45" s="11">
        <v>25692408</v>
      </c>
      <c r="D45" s="11">
        <v>27131007</v>
      </c>
      <c r="E45" s="11">
        <v>25812292</v>
      </c>
      <c r="F45" s="11">
        <v>26508342</v>
      </c>
      <c r="G45" s="11">
        <v>24091342</v>
      </c>
      <c r="H45" s="11">
        <v>27466721</v>
      </c>
      <c r="I45" s="11">
        <v>27195834</v>
      </c>
      <c r="J45" s="11">
        <f>Tax!$G18</f>
        <v>28562892</v>
      </c>
      <c r="K45" s="9">
        <f t="shared" si="4"/>
        <v>0.0503</v>
      </c>
      <c r="L45" s="9">
        <f t="shared" si="5"/>
        <v>0.0259</v>
      </c>
      <c r="N45" s="11">
        <f t="shared" si="6"/>
        <v>1367058</v>
      </c>
      <c r="O45" s="11">
        <f>SUM(N36:N45)</f>
        <v>7121481</v>
      </c>
      <c r="P45" s="11">
        <f>SUM(I36:I45)</f>
        <v>275192856</v>
      </c>
    </row>
    <row r="46" spans="1:16" ht="14.25">
      <c r="A46" s="1" t="s">
        <v>19</v>
      </c>
      <c r="B46" s="11">
        <v>23399930</v>
      </c>
      <c r="C46" s="11">
        <v>27351322</v>
      </c>
      <c r="D46" s="11">
        <v>27880521</v>
      </c>
      <c r="E46" s="11">
        <v>26975343</v>
      </c>
      <c r="F46" s="11">
        <v>28805668</v>
      </c>
      <c r="G46" s="11">
        <v>26250112</v>
      </c>
      <c r="H46" s="11">
        <v>29135142</v>
      </c>
      <c r="I46" s="11">
        <v>27439876</v>
      </c>
      <c r="J46" s="11">
        <f>Tax!$G19</f>
        <v>30136343</v>
      </c>
      <c r="K46" s="9">
        <f t="shared" si="4"/>
        <v>0.0983</v>
      </c>
      <c r="L46" s="9">
        <f t="shared" si="5"/>
        <v>0.0324</v>
      </c>
      <c r="N46" s="11">
        <f t="shared" si="6"/>
        <v>2696467</v>
      </c>
      <c r="O46" s="11">
        <f>SUM(N36:N46)</f>
        <v>9817948</v>
      </c>
      <c r="P46" s="11">
        <f>SUM(I36:I46)</f>
        <v>302632732</v>
      </c>
    </row>
    <row r="47" spans="1:16" ht="14.25">
      <c r="A47" s="1" t="s">
        <v>20</v>
      </c>
      <c r="B47" s="11">
        <v>23102371</v>
      </c>
      <c r="C47" s="11">
        <v>27253421</v>
      </c>
      <c r="D47" s="11">
        <v>29073366</v>
      </c>
      <c r="E47" s="11">
        <v>28121270</v>
      </c>
      <c r="F47" s="11">
        <v>29820393</v>
      </c>
      <c r="G47" s="11">
        <v>26279480</v>
      </c>
      <c r="H47" s="11">
        <v>28473051</v>
      </c>
      <c r="I47" s="11">
        <v>28973122</v>
      </c>
      <c r="J47" s="11">
        <f>Tax!$G20</f>
        <v>32023850</v>
      </c>
      <c r="K47" s="9">
        <f t="shared" si="4"/>
        <v>0.1053</v>
      </c>
      <c r="L47" s="9">
        <f t="shared" si="5"/>
        <v>0.0388</v>
      </c>
      <c r="N47" s="11">
        <f t="shared" si="6"/>
        <v>3050728</v>
      </c>
      <c r="O47" s="11">
        <f>SUM(N36:N47)</f>
        <v>12868676</v>
      </c>
      <c r="P47" s="11">
        <f>SUM(I36:I47)</f>
        <v>331605854</v>
      </c>
    </row>
    <row r="48" spans="1:16" ht="15" thickBot="1">
      <c r="A48" s="1" t="s">
        <v>21</v>
      </c>
      <c r="B48" s="12">
        <f aca="true" t="shared" si="7" ref="B48:I48">SUM(B36:B47)</f>
        <v>304446400</v>
      </c>
      <c r="C48" s="12">
        <f t="shared" si="7"/>
        <v>310365259</v>
      </c>
      <c r="D48" s="12">
        <f t="shared" si="7"/>
        <v>319390693</v>
      </c>
      <c r="E48" s="12">
        <f t="shared" si="7"/>
        <v>330696359</v>
      </c>
      <c r="F48" s="12">
        <f t="shared" si="7"/>
        <v>326533910</v>
      </c>
      <c r="G48" s="12">
        <f t="shared" si="7"/>
        <v>306140687</v>
      </c>
      <c r="H48" s="12">
        <f t="shared" si="7"/>
        <v>329363495</v>
      </c>
      <c r="I48" s="12">
        <f t="shared" si="7"/>
        <v>331605854</v>
      </c>
      <c r="J48" s="12">
        <f>SUM(J36:J47)</f>
        <v>344474530</v>
      </c>
      <c r="K48" s="14"/>
      <c r="L48" s="14"/>
      <c r="N48" s="11"/>
      <c r="O48" s="11"/>
      <c r="P48" s="11"/>
    </row>
    <row r="49" spans="2:12" ht="15" thickTop="1">
      <c r="B49" s="11"/>
      <c r="C49" s="11"/>
      <c r="D49" s="11"/>
      <c r="E49" s="11"/>
      <c r="F49" s="11"/>
      <c r="G49" s="11"/>
      <c r="H49" s="11"/>
      <c r="I49" s="11"/>
      <c r="J49" s="11"/>
      <c r="K49" s="9"/>
      <c r="L49" s="9"/>
    </row>
    <row r="51" ht="14.25">
      <c r="A51" t="s">
        <v>46</v>
      </c>
    </row>
    <row r="52" ht="14.25">
      <c r="A52" t="s">
        <v>47</v>
      </c>
    </row>
  </sheetData>
  <sheetProtection/>
  <mergeCells count="3">
    <mergeCell ref="A1:L1"/>
    <mergeCell ref="A3:L3"/>
    <mergeCell ref="A27:L27"/>
  </mergeCells>
  <printOptions horizontalCentered="1"/>
  <pageMargins left="0.2" right="0.2" top="0.3" bottom="0.2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Katie.Beiriger</dc:creator>
  <cp:keywords/>
  <dc:description/>
  <cp:lastModifiedBy>Beiriger, Katie</cp:lastModifiedBy>
  <cp:lastPrinted>2014-03-24T19:36:45Z</cp:lastPrinted>
  <dcterms:created xsi:type="dcterms:W3CDTF">2011-06-22T12:38:21Z</dcterms:created>
  <dcterms:modified xsi:type="dcterms:W3CDTF">2016-09-08T18:28:13Z</dcterms:modified>
  <cp:category/>
  <cp:version/>
  <cp:contentType/>
  <cp:contentStatus/>
</cp:coreProperties>
</file>